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RVMMAGV108\userhome1\M\MMAGPHMA\IFS\"/>
    </mc:Choice>
  </mc:AlternateContent>
  <xr:revisionPtr revIDLastSave="0" documentId="13_ncr:1_{7FCDFE0E-3249-4E05-9DEE-AFA20B8982F2}" xr6:coauthVersionLast="47" xr6:coauthVersionMax="47" xr10:uidLastSave="{00000000-0000-0000-0000-000000000000}"/>
  <workbookProtection workbookAlgorithmName="SHA-512" workbookHashValue="vJDAvhkF82uAwOq6XrzEhfZMy5wawvOw7cpXZnSM3GmKMaD/FfH5yoX7nQfChsPTQwRvwZf2izqs/1wygvocjg==" workbookSaltValue="yoOQ2bFPInnJ1489mO1FqQ==" workbookSpinCount="100000" lockStructure="1"/>
  <bookViews>
    <workbookView xWindow="-120" yWindow="-120" windowWidth="29040" windowHeight="17640" xr2:uid="{F0653D65-A2CE-4F99-AD11-37D5DA13FF8A}"/>
  </bookViews>
  <sheets>
    <sheet name="UAV-ESC Calculation Sheet" sheetId="1" r:id="rId1"/>
    <sheet name="Sheet1" sheetId="2" state="hidden" r:id="rId2"/>
    <sheet name="Sheet2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C5" i="2"/>
  <c r="C4" i="2"/>
  <c r="C4" i="3" l="1"/>
  <c r="C14" i="2"/>
  <c r="C7" i="2"/>
  <c r="C6" i="2"/>
  <c r="C29" i="2"/>
  <c r="C36" i="2" s="1"/>
  <c r="C19" i="2"/>
  <c r="C10" i="2"/>
  <c r="E15" i="2" s="1"/>
  <c r="G4" i="3" l="1"/>
  <c r="C5" i="3"/>
  <c r="C22" i="2"/>
  <c r="C23" i="2"/>
  <c r="C25" i="2"/>
  <c r="C12" i="2"/>
  <c r="C13" i="2" s="1"/>
  <c r="C15" i="2" s="1"/>
  <c r="C16" i="2" s="1"/>
  <c r="C11" i="2"/>
  <c r="F28" i="1" l="1"/>
  <c r="G5" i="3"/>
  <c r="J25" i="2"/>
  <c r="C37" i="2"/>
  <c r="C40" i="2" s="1"/>
  <c r="J40" i="2" s="1"/>
  <c r="C26" i="2"/>
  <c r="F29" i="1" l="1"/>
  <c r="F17" i="1"/>
  <c r="F24" i="1"/>
  <c r="F26" i="1"/>
  <c r="C39" i="2"/>
  <c r="J39" i="2" s="1"/>
  <c r="J26" i="2"/>
  <c r="C33" i="2"/>
  <c r="C34" i="2"/>
  <c r="J34" i="2" l="1"/>
  <c r="F18" i="1"/>
  <c r="F23" i="1"/>
  <c r="F25" i="1"/>
  <c r="J33" i="2"/>
  <c r="F20" i="1" l="1"/>
  <c r="F21" i="1"/>
</calcChain>
</file>

<file path=xl/sharedStrings.xml><?xml version="1.0" encoding="utf-8"?>
<sst xmlns="http://schemas.openxmlformats.org/spreadsheetml/2006/main" count="149" uniqueCount="100">
  <si>
    <t>PI current controller synthese</t>
  </si>
  <si>
    <t>R_est</t>
  </si>
  <si>
    <t>Ω</t>
  </si>
  <si>
    <t>L_est</t>
  </si>
  <si>
    <t>H</t>
  </si>
  <si>
    <t>R_foc</t>
  </si>
  <si>
    <t>L_foc</t>
  </si>
  <si>
    <t>dt</t>
  </si>
  <si>
    <t>s</t>
  </si>
  <si>
    <t>f_samp</t>
  </si>
  <si>
    <t>Hz</t>
  </si>
  <si>
    <t>Ke</t>
  </si>
  <si>
    <t>A/V</t>
  </si>
  <si>
    <t>Te</t>
  </si>
  <si>
    <t>ω_0</t>
  </si>
  <si>
    <t>rad/s</t>
  </si>
  <si>
    <t>f_bandwidth</t>
  </si>
  <si>
    <t>ω_0e</t>
  </si>
  <si>
    <t>max.</t>
  </si>
  <si>
    <t>ω_ictrl</t>
  </si>
  <si>
    <t>k_f</t>
  </si>
  <si>
    <t>f_tst</t>
  </si>
  <si>
    <t>Om_inj</t>
  </si>
  <si>
    <t>qcorr</t>
  </si>
  <si>
    <t>Ki</t>
  </si>
  <si>
    <t>V/As</t>
  </si>
  <si>
    <t>Kp</t>
  </si>
  <si>
    <t>V/A</t>
  </si>
  <si>
    <t>a</t>
  </si>
  <si>
    <t>b</t>
  </si>
  <si>
    <t>n_max</t>
  </si>
  <si>
    <t>rpm</t>
  </si>
  <si>
    <r>
      <rPr>
        <sz val="11"/>
        <color indexed="8"/>
        <rFont val="Calibri"/>
        <family val="2"/>
      </rPr>
      <t>ω</t>
    </r>
    <r>
      <rPr>
        <sz val="11"/>
        <color theme="1"/>
        <rFont val="Calibri"/>
        <family val="2"/>
        <scheme val="minor"/>
      </rPr>
      <t>_max</t>
    </r>
  </si>
  <si>
    <t>k_bw1</t>
  </si>
  <si>
    <t>k_bw2</t>
  </si>
  <si>
    <t>tmpval1</t>
  </si>
  <si>
    <t>tmpval2</t>
  </si>
  <si>
    <t>li</t>
  </si>
  <si>
    <t>le</t>
  </si>
  <si>
    <t>kp</t>
  </si>
  <si>
    <t>ki</t>
  </si>
  <si>
    <t>V/(A*s)</t>
  </si>
  <si>
    <t>mV/A</t>
  </si>
  <si>
    <t>mV/(A*ms)</t>
  </si>
  <si>
    <t>kn</t>
  </si>
  <si>
    <t>rpm/V</t>
  </si>
  <si>
    <t>upper threshold</t>
  </si>
  <si>
    <t>V</t>
  </si>
  <si>
    <t>lower threshold</t>
  </si>
  <si>
    <t>mV</t>
  </si>
  <si>
    <t>-</t>
  </si>
  <si>
    <t>Motor Data (according datasheet)</t>
  </si>
  <si>
    <t>Terminal resistance phase to phase</t>
  </si>
  <si>
    <t>Ω</t>
  </si>
  <si>
    <t>Terminal inductance phase to phase</t>
  </si>
  <si>
    <t>mH</t>
  </si>
  <si>
    <t>Speed constant</t>
  </si>
  <si>
    <t>Transition parameter (a)</t>
  </si>
  <si>
    <t>Input parameter (b)</t>
  </si>
  <si>
    <t>0x3002</t>
  </si>
  <si>
    <t>0x03</t>
  </si>
  <si>
    <t>0x04</t>
  </si>
  <si>
    <t>Current controller P gain</t>
  </si>
  <si>
    <t>Current controller I gain</t>
  </si>
  <si>
    <t>0x30A0</t>
  </si>
  <si>
    <t>0x01</t>
  </si>
  <si>
    <t>0x02</t>
  </si>
  <si>
    <t>0x30A5</t>
  </si>
  <si>
    <t>Kalman current gain [1]</t>
  </si>
  <si>
    <t>Kalman back EMF gain [1]</t>
  </si>
  <si>
    <t>Kalman current gain [2]</t>
  </si>
  <si>
    <t>Kalman back EMF gain [2]</t>
  </si>
  <si>
    <t>Electrical system parameters</t>
  </si>
  <si>
    <t>Current control parameter set</t>
  </si>
  <si>
    <t>Back EMF observer parameter set</t>
  </si>
  <si>
    <t>Synchronous startup parameter set</t>
  </si>
  <si>
    <t>0x30AF</t>
  </si>
  <si>
    <t>0x07</t>
  </si>
  <si>
    <t>0x08</t>
  </si>
  <si>
    <t>Transition upper threshold</t>
  </si>
  <si>
    <t>Transition lower threshold</t>
  </si>
  <si>
    <t>Index</t>
  </si>
  <si>
    <t>SubIndex</t>
  </si>
  <si>
    <t>Name</t>
  </si>
  <si>
    <t xml:space="preserve">0x3002  </t>
  </si>
  <si>
    <t xml:space="preserve">0x30A0  </t>
  </si>
  <si>
    <t xml:space="preserve">0x30A5  </t>
  </si>
  <si>
    <t xml:space="preserve">0x30AF  </t>
  </si>
  <si>
    <t>Parameters for EPOS Studio</t>
  </si>
  <si>
    <t>UAV-ESC Calculation Sheet</t>
  </si>
  <si>
    <t>Document Number:</t>
  </si>
  <si>
    <t>Revision:</t>
  </si>
  <si>
    <t>Date:</t>
  </si>
  <si>
    <t>Brünigstrasse 220</t>
  </si>
  <si>
    <t>enter your motor data here</t>
  </si>
  <si>
    <t>copy these values to the indicated objects/ indexes in EPOS Studio</t>
  </si>
  <si>
    <t>Parameter for output on UAV-ESC Calculation Sheet</t>
  </si>
  <si>
    <t>02</t>
  </si>
  <si>
    <t>maxon international ltd.</t>
  </si>
  <si>
    <t>CH-6072 Sachseln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</si>
</sst>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 style="medium">
        <color auto="1"/>
      </top>
      <bottom/>
      <diagonal/>
    </border>
    <border>
      <left style="medium">
        <color theme="0"/>
      </left>
      <right style="medium">
        <color auto="1"/>
      </right>
      <top style="medium">
        <color auto="1"/>
      </top>
      <bottom/>
      <diagonal/>
    </border>
    <border>
      <left style="medium">
        <color theme="0"/>
      </left>
      <right style="medium">
        <color auto="1"/>
      </right>
      <top/>
      <bottom/>
      <diagonal/>
    </border>
    <border>
      <left style="medium">
        <color indexed="64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indexed="64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auto="1"/>
      </right>
      <top style="medium">
        <color theme="0"/>
      </top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 style="thick">
        <color rgb="FF00B050"/>
      </right>
      <top/>
      <bottom/>
      <diagonal/>
    </border>
    <border>
      <left style="thick">
        <color rgb="FF00B050"/>
      </left>
      <right style="thick">
        <color rgb="FF00B050"/>
      </right>
      <top/>
      <bottom style="thick">
        <color rgb="FF00B05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  <xf numFmtId="0" fontId="0" fillId="0" borderId="0" xfId="0" applyBorder="1"/>
    <xf numFmtId="0" fontId="0" fillId="0" borderId="0" xfId="0" quotePrefix="1"/>
    <xf numFmtId="0" fontId="0" fillId="0" borderId="0" xfId="0" quotePrefix="1" applyBorder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1" fontId="7" fillId="0" borderId="0" xfId="0" applyNumberFormat="1" applyFont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0" fontId="8" fillId="2" borderId="19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right" vertical="center"/>
    </xf>
    <xf numFmtId="0" fontId="8" fillId="2" borderId="21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13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7" xfId="0" applyFont="1" applyFill="1" applyBorder="1" applyAlignment="1">
      <alignment horizontal="right" vertical="center"/>
    </xf>
    <xf numFmtId="0" fontId="7" fillId="3" borderId="11" xfId="0" applyFont="1" applyFill="1" applyBorder="1" applyAlignment="1">
      <alignment vertical="center"/>
    </xf>
    <xf numFmtId="0" fontId="7" fillId="0" borderId="12" xfId="0" applyFont="1" applyBorder="1" applyAlignment="1">
      <alignment horizontal="right"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3" borderId="26" xfId="0" applyFont="1" applyFill="1" applyBorder="1" applyAlignment="1">
      <alignment vertical="center"/>
    </xf>
    <xf numFmtId="0" fontId="7" fillId="0" borderId="14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14" fontId="10" fillId="0" borderId="0" xfId="0" applyNumberFormat="1" applyFont="1" applyAlignment="1">
      <alignment horizontal="left" vertical="center"/>
    </xf>
    <xf numFmtId="164" fontId="7" fillId="0" borderId="22" xfId="0" applyNumberFormat="1" applyFont="1" applyFill="1" applyBorder="1" applyAlignment="1">
      <alignment vertical="center"/>
    </xf>
    <xf numFmtId="164" fontId="7" fillId="3" borderId="23" xfId="0" applyNumberFormat="1" applyFont="1" applyFill="1" applyBorder="1" applyAlignment="1">
      <alignment vertical="center"/>
    </xf>
    <xf numFmtId="165" fontId="7" fillId="0" borderId="24" xfId="0" applyNumberFormat="1" applyFont="1" applyFill="1" applyBorder="1" applyAlignment="1">
      <alignment vertical="center"/>
    </xf>
    <xf numFmtId="166" fontId="7" fillId="0" borderId="25" xfId="0" applyNumberFormat="1" applyFont="1" applyBorder="1" applyAlignment="1">
      <alignment vertical="center"/>
    </xf>
    <xf numFmtId="166" fontId="7" fillId="0" borderId="26" xfId="0" applyNumberFormat="1" applyFont="1" applyBorder="1" applyAlignment="1">
      <alignment vertical="center"/>
    </xf>
    <xf numFmtId="1" fontId="7" fillId="0" borderId="26" xfId="0" applyNumberFormat="1" applyFont="1" applyBorder="1" applyAlignment="1">
      <alignment vertical="center"/>
    </xf>
    <xf numFmtId="1" fontId="7" fillId="0" borderId="27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13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166" fontId="0" fillId="0" borderId="0" xfId="0" applyNumberFormat="1" applyBorder="1" applyAlignment="1"/>
    <xf numFmtId="0" fontId="0" fillId="0" borderId="33" xfId="0" applyBorder="1"/>
    <xf numFmtId="166" fontId="0" fillId="0" borderId="34" xfId="0" applyNumberFormat="1" applyBorder="1" applyAlignment="1"/>
    <xf numFmtId="0" fontId="0" fillId="0" borderId="35" xfId="0" applyBorder="1"/>
    <xf numFmtId="1" fontId="0" fillId="0" borderId="0" xfId="0" applyNumberFormat="1" applyBorder="1"/>
    <xf numFmtId="1" fontId="0" fillId="0" borderId="34" xfId="0" applyNumberFormat="1" applyBorder="1"/>
    <xf numFmtId="0" fontId="7" fillId="3" borderId="26" xfId="0" applyNumberFormat="1" applyFont="1" applyFill="1" applyBorder="1" applyAlignment="1">
      <alignment vertical="center"/>
    </xf>
    <xf numFmtId="49" fontId="10" fillId="0" borderId="0" xfId="0" applyNumberFormat="1" applyFont="1" applyAlignment="1">
      <alignment horizontal="left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157594</xdr:colOff>
      <xdr:row>0</xdr:row>
      <xdr:rowOff>99581</xdr:rowOff>
    </xdr:from>
    <xdr:to>
      <xdr:col>5</xdr:col>
      <xdr:colOff>780912</xdr:colOff>
      <xdr:row>0</xdr:row>
      <xdr:rowOff>363093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D82D9150-A562-4C08-B28F-A19409BDB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6639" y="99581"/>
          <a:ext cx="1368000" cy="263512"/>
        </a:xfrm>
        <a:prstGeom prst="rect">
          <a:avLst/>
        </a:prstGeom>
      </xdr:spPr>
    </xdr:pic>
    <xdr:clientData/>
  </xdr:twoCellAnchor>
  <xdr:twoCellAnchor>
    <xdr:from>
      <xdr:col>6</xdr:col>
      <xdr:colOff>13607</xdr:colOff>
      <xdr:row>9</xdr:row>
      <xdr:rowOff>95017</xdr:rowOff>
    </xdr:from>
    <xdr:to>
      <xdr:col>7</xdr:col>
      <xdr:colOff>0</xdr:colOff>
      <xdr:row>9</xdr:row>
      <xdr:rowOff>97739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49BB9F9-2305-400F-9379-868E166302F1}"/>
            </a:ext>
          </a:extLst>
        </xdr:cNvPr>
        <xdr:cNvCxnSpPr/>
      </xdr:nvCxnSpPr>
      <xdr:spPr>
        <a:xfrm flipH="1">
          <a:off x="5700729" y="1953554"/>
          <a:ext cx="748393" cy="2722"/>
        </a:xfrm>
        <a:prstGeom prst="straightConnector1">
          <a:avLst/>
        </a:prstGeom>
        <a:ln>
          <a:solidFill>
            <a:srgbClr val="00B05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11970</xdr:colOff>
      <xdr:row>22</xdr:row>
      <xdr:rowOff>96198</xdr:rowOff>
    </xdr:from>
    <xdr:to>
      <xdr:col>6</xdr:col>
      <xdr:colOff>760363</xdr:colOff>
      <xdr:row>22</xdr:row>
      <xdr:rowOff>98920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524DECFB-BC3D-4B3C-9817-6499D1FDA987}"/>
            </a:ext>
          </a:extLst>
        </xdr:cNvPr>
        <xdr:cNvCxnSpPr/>
      </xdr:nvCxnSpPr>
      <xdr:spPr>
        <a:xfrm flipH="1">
          <a:off x="5699092" y="4431235"/>
          <a:ext cx="748393" cy="2722"/>
        </a:xfrm>
        <a:prstGeom prst="straightConnector1">
          <a:avLst/>
        </a:prstGeom>
        <a:ln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765AF-889C-4A6C-A2B7-00AB2DC82073}">
  <sheetPr codeName="Sheet1"/>
  <dimension ref="A1:Q54"/>
  <sheetViews>
    <sheetView showGridLines="0" tabSelected="1" zoomScale="110" zoomScaleNormal="110" workbookViewId="0"/>
  </sheetViews>
  <sheetFormatPr defaultColWidth="11.42578125" defaultRowHeight="15" customHeight="1" x14ac:dyDescent="0.25"/>
  <cols>
    <col min="1" max="1" width="6.85546875" style="58" customWidth="1"/>
    <col min="2" max="2" width="10.42578125" style="10" customWidth="1"/>
    <col min="3" max="3" width="11.42578125" style="10" customWidth="1"/>
    <col min="4" max="4" width="33.42578125" style="10" bestFit="1" customWidth="1"/>
    <col min="5" max="5" width="11.140625" style="23" bestFit="1" customWidth="1"/>
    <col min="6" max="6" width="12" style="10" bestFit="1" customWidth="1"/>
    <col min="7" max="7" width="10" style="10" customWidth="1"/>
    <col min="8" max="8" width="12.85546875" style="10" customWidth="1"/>
    <col min="9" max="9" width="11.42578125" style="10"/>
    <col min="10" max="10" width="25.5703125" style="10" bestFit="1" customWidth="1"/>
    <col min="11" max="14" width="11.42578125" style="10"/>
    <col min="15" max="15" width="25.5703125" style="10" bestFit="1" customWidth="1"/>
    <col min="16" max="16384" width="11.42578125" style="10"/>
  </cols>
  <sheetData>
    <row r="1" spans="1:8" ht="32.25" customHeight="1" x14ac:dyDescent="0.25">
      <c r="A1" s="56" t="s">
        <v>89</v>
      </c>
    </row>
    <row r="2" spans="1:8" s="45" customFormat="1" ht="12" customHeight="1" x14ac:dyDescent="0.25">
      <c r="A2" s="57" t="s">
        <v>90</v>
      </c>
      <c r="C2" s="46">
        <v>9347460</v>
      </c>
      <c r="E2" s="47"/>
      <c r="F2" s="47" t="s">
        <v>98</v>
      </c>
    </row>
    <row r="3" spans="1:8" s="45" customFormat="1" ht="12" customHeight="1" x14ac:dyDescent="0.25">
      <c r="A3" s="57" t="s">
        <v>91</v>
      </c>
      <c r="C3" s="75" t="s">
        <v>97</v>
      </c>
      <c r="E3" s="47"/>
      <c r="F3" s="47" t="s">
        <v>93</v>
      </c>
    </row>
    <row r="4" spans="1:8" s="45" customFormat="1" ht="12" customHeight="1" x14ac:dyDescent="0.25">
      <c r="A4" s="57" t="s">
        <v>92</v>
      </c>
      <c r="C4" s="48">
        <v>44907</v>
      </c>
      <c r="E4" s="47"/>
      <c r="F4" s="47" t="s">
        <v>99</v>
      </c>
    </row>
    <row r="5" spans="1:8" s="45" customFormat="1" ht="12" customHeight="1" x14ac:dyDescent="0.25">
      <c r="A5" s="57"/>
      <c r="E5" s="47"/>
      <c r="F5" s="47"/>
    </row>
    <row r="7" spans="1:8" ht="15" customHeight="1" thickBot="1" x14ac:dyDescent="0.3">
      <c r="D7" s="11"/>
      <c r="E7" s="12"/>
      <c r="F7" s="11"/>
      <c r="G7" s="11"/>
      <c r="H7" s="11"/>
    </row>
    <row r="8" spans="1:8" ht="15" customHeight="1" thickBot="1" x14ac:dyDescent="0.3">
      <c r="C8" s="11"/>
      <c r="D8" s="13" t="s">
        <v>51</v>
      </c>
      <c r="E8" s="14"/>
      <c r="F8" s="15"/>
      <c r="G8" s="11"/>
      <c r="H8" s="11"/>
    </row>
    <row r="9" spans="1:8" ht="15" customHeight="1" thickTop="1" x14ac:dyDescent="0.25">
      <c r="C9" s="11"/>
      <c r="D9" s="16" t="s">
        <v>52</v>
      </c>
      <c r="E9" s="17" t="s">
        <v>53</v>
      </c>
      <c r="F9" s="49"/>
      <c r="G9" s="18"/>
      <c r="H9" s="76" t="s">
        <v>94</v>
      </c>
    </row>
    <row r="10" spans="1:8" ht="15" customHeight="1" x14ac:dyDescent="0.25">
      <c r="C10" s="11"/>
      <c r="D10" s="19" t="s">
        <v>54</v>
      </c>
      <c r="E10" s="20" t="s">
        <v>55</v>
      </c>
      <c r="F10" s="50"/>
      <c r="G10" s="18"/>
      <c r="H10" s="77"/>
    </row>
    <row r="11" spans="1:8" ht="15" customHeight="1" thickBot="1" x14ac:dyDescent="0.3">
      <c r="C11" s="11"/>
      <c r="D11" s="21" t="s">
        <v>56</v>
      </c>
      <c r="E11" s="22" t="s">
        <v>45</v>
      </c>
      <c r="F11" s="51"/>
      <c r="G11" s="18"/>
      <c r="H11" s="78"/>
    </row>
    <row r="13" spans="1:8" ht="15" customHeight="1" thickBot="1" x14ac:dyDescent="0.3">
      <c r="D13" s="11"/>
      <c r="E13" s="12"/>
      <c r="F13" s="11"/>
    </row>
    <row r="14" spans="1:8" ht="15" customHeight="1" thickBot="1" x14ac:dyDescent="0.3">
      <c r="B14" s="13" t="s">
        <v>88</v>
      </c>
      <c r="C14" s="24"/>
      <c r="D14" s="24"/>
      <c r="E14" s="25"/>
      <c r="F14" s="26"/>
    </row>
    <row r="15" spans="1:8" ht="15" customHeight="1" x14ac:dyDescent="0.25">
      <c r="B15" s="27" t="s">
        <v>81</v>
      </c>
      <c r="C15" s="28" t="s">
        <v>82</v>
      </c>
      <c r="D15" s="29" t="s">
        <v>83</v>
      </c>
      <c r="E15" s="30"/>
      <c r="F15" s="31"/>
    </row>
    <row r="16" spans="1:8" ht="15" customHeight="1" thickBot="1" x14ac:dyDescent="0.3">
      <c r="B16" s="32" t="s">
        <v>59</v>
      </c>
      <c r="C16" s="33"/>
      <c r="D16" s="34" t="s">
        <v>72</v>
      </c>
      <c r="E16" s="35"/>
      <c r="F16" s="36"/>
    </row>
    <row r="17" spans="2:8" ht="15" customHeight="1" thickTop="1" x14ac:dyDescent="0.25">
      <c r="B17" s="37" t="s">
        <v>84</v>
      </c>
      <c r="C17" s="38" t="s">
        <v>60</v>
      </c>
      <c r="D17" s="39" t="s">
        <v>57</v>
      </c>
      <c r="E17" s="12" t="s">
        <v>50</v>
      </c>
      <c r="F17" s="52" t="e">
        <f>Sheet1!J25</f>
        <v>#DIV/0!</v>
      </c>
    </row>
    <row r="18" spans="2:8" ht="15" customHeight="1" x14ac:dyDescent="0.25">
      <c r="B18" s="37" t="s">
        <v>84</v>
      </c>
      <c r="C18" s="38" t="s">
        <v>61</v>
      </c>
      <c r="D18" s="39" t="s">
        <v>58</v>
      </c>
      <c r="E18" s="12" t="s">
        <v>12</v>
      </c>
      <c r="F18" s="53" t="e">
        <f>Sheet1!J26</f>
        <v>#DIV/0!</v>
      </c>
    </row>
    <row r="19" spans="2:8" ht="15" customHeight="1" thickBot="1" x14ac:dyDescent="0.3">
      <c r="B19" s="32" t="s">
        <v>64</v>
      </c>
      <c r="C19" s="33"/>
      <c r="D19" s="34" t="s">
        <v>73</v>
      </c>
      <c r="E19" s="20"/>
      <c r="F19" s="40"/>
    </row>
    <row r="20" spans="2:8" ht="15" customHeight="1" thickTop="1" x14ac:dyDescent="0.25">
      <c r="B20" s="37" t="s">
        <v>85</v>
      </c>
      <c r="C20" s="38" t="s">
        <v>65</v>
      </c>
      <c r="D20" s="39" t="s">
        <v>62</v>
      </c>
      <c r="E20" s="12" t="s">
        <v>42</v>
      </c>
      <c r="F20" s="53" t="e">
        <f>Sheet1!J33</f>
        <v>#DIV/0!</v>
      </c>
      <c r="H20" s="79" t="s">
        <v>95</v>
      </c>
    </row>
    <row r="21" spans="2:8" ht="15" customHeight="1" x14ac:dyDescent="0.25">
      <c r="B21" s="37" t="s">
        <v>85</v>
      </c>
      <c r="C21" s="38" t="s">
        <v>66</v>
      </c>
      <c r="D21" s="39" t="s">
        <v>63</v>
      </c>
      <c r="E21" s="12" t="s">
        <v>43</v>
      </c>
      <c r="F21" s="53" t="e">
        <f>Sheet1!J34</f>
        <v>#DIV/0!</v>
      </c>
      <c r="H21" s="80"/>
    </row>
    <row r="22" spans="2:8" ht="15" customHeight="1" x14ac:dyDescent="0.25">
      <c r="B22" s="32" t="s">
        <v>67</v>
      </c>
      <c r="C22" s="33"/>
      <c r="D22" s="34" t="s">
        <v>74</v>
      </c>
      <c r="E22" s="20"/>
      <c r="F22" s="74"/>
      <c r="G22" s="11"/>
      <c r="H22" s="80"/>
    </row>
    <row r="23" spans="2:8" ht="15" customHeight="1" x14ac:dyDescent="0.25">
      <c r="B23" s="37" t="s">
        <v>86</v>
      </c>
      <c r="C23" s="38" t="s">
        <v>65</v>
      </c>
      <c r="D23" s="39" t="s">
        <v>68</v>
      </c>
      <c r="E23" s="12" t="s">
        <v>50</v>
      </c>
      <c r="F23" s="53" t="e">
        <f>Sheet1!J39</f>
        <v>#DIV/0!</v>
      </c>
      <c r="H23" s="80"/>
    </row>
    <row r="24" spans="2:8" ht="15" customHeight="1" x14ac:dyDescent="0.25">
      <c r="B24" s="37" t="s">
        <v>86</v>
      </c>
      <c r="C24" s="38" t="s">
        <v>66</v>
      </c>
      <c r="D24" s="39" t="s">
        <v>69</v>
      </c>
      <c r="E24" s="12" t="s">
        <v>27</v>
      </c>
      <c r="F24" s="53" t="e">
        <f>Sheet1!J40</f>
        <v>#DIV/0!</v>
      </c>
      <c r="H24" s="80"/>
    </row>
    <row r="25" spans="2:8" ht="15" customHeight="1" x14ac:dyDescent="0.25">
      <c r="B25" s="37" t="s">
        <v>86</v>
      </c>
      <c r="C25" s="38" t="s">
        <v>60</v>
      </c>
      <c r="D25" s="39" t="s">
        <v>70</v>
      </c>
      <c r="E25" s="12" t="s">
        <v>50</v>
      </c>
      <c r="F25" s="53" t="e">
        <f>Sheet1!J39</f>
        <v>#DIV/0!</v>
      </c>
      <c r="H25" s="80"/>
    </row>
    <row r="26" spans="2:8" ht="15" customHeight="1" thickBot="1" x14ac:dyDescent="0.3">
      <c r="B26" s="37" t="s">
        <v>86</v>
      </c>
      <c r="C26" s="38" t="s">
        <v>61</v>
      </c>
      <c r="D26" s="39" t="s">
        <v>71</v>
      </c>
      <c r="E26" s="12" t="s">
        <v>27</v>
      </c>
      <c r="F26" s="53" t="e">
        <f>Sheet1!J40</f>
        <v>#DIV/0!</v>
      </c>
      <c r="H26" s="81"/>
    </row>
    <row r="27" spans="2:8" ht="15" customHeight="1" thickTop="1" x14ac:dyDescent="0.25">
      <c r="B27" s="32" t="s">
        <v>76</v>
      </c>
      <c r="C27" s="33"/>
      <c r="D27" s="34" t="s">
        <v>75</v>
      </c>
      <c r="E27" s="20"/>
      <c r="F27" s="40"/>
      <c r="H27" s="11"/>
    </row>
    <row r="28" spans="2:8" ht="15" customHeight="1" x14ac:dyDescent="0.25">
      <c r="B28" s="37" t="s">
        <v>87</v>
      </c>
      <c r="C28" s="38" t="s">
        <v>77</v>
      </c>
      <c r="D28" s="39" t="s">
        <v>79</v>
      </c>
      <c r="E28" s="12" t="s">
        <v>49</v>
      </c>
      <c r="F28" s="54" t="e">
        <f>Sheet2!G4</f>
        <v>#DIV/0!</v>
      </c>
      <c r="G28" s="11"/>
    </row>
    <row r="29" spans="2:8" ht="15" customHeight="1" thickBot="1" x14ac:dyDescent="0.3">
      <c r="B29" s="41" t="s">
        <v>87</v>
      </c>
      <c r="C29" s="42" t="s">
        <v>78</v>
      </c>
      <c r="D29" s="43" t="s">
        <v>80</v>
      </c>
      <c r="E29" s="44" t="s">
        <v>49</v>
      </c>
      <c r="F29" s="55" t="e">
        <f>Sheet2!G5</f>
        <v>#DIV/0!</v>
      </c>
      <c r="G29" s="11"/>
    </row>
    <row r="30" spans="2:8" ht="15" customHeight="1" x14ac:dyDescent="0.25">
      <c r="G30" s="11"/>
    </row>
    <row r="31" spans="2:8" ht="15" customHeight="1" x14ac:dyDescent="0.25">
      <c r="G31" s="11"/>
    </row>
    <row r="32" spans="2:8" ht="15" customHeight="1" x14ac:dyDescent="0.25">
      <c r="G32" s="11"/>
    </row>
    <row r="33" spans="7:7" ht="15" customHeight="1" x14ac:dyDescent="0.25">
      <c r="G33" s="11"/>
    </row>
    <row r="34" spans="7:7" ht="15" customHeight="1" x14ac:dyDescent="0.25">
      <c r="G34" s="11"/>
    </row>
    <row r="35" spans="7:7" ht="15" customHeight="1" x14ac:dyDescent="0.25">
      <c r="G35" s="11"/>
    </row>
    <row r="54" spans="14:17" ht="15" customHeight="1" x14ac:dyDescent="0.25">
      <c r="N54" s="11"/>
      <c r="O54" s="11"/>
      <c r="P54" s="11"/>
      <c r="Q54" s="11"/>
    </row>
  </sheetData>
  <mergeCells count="2">
    <mergeCell ref="H9:H11"/>
    <mergeCell ref="H20:H26"/>
  </mergeCells>
  <pageMargins left="0.70866141732283472" right="0.70866141732283472" top="0.78740157480314965" bottom="0.78740157480314965" header="0.31496062992125984" footer="0.31496062992125984"/>
  <pageSetup orientation="portrait" r:id="rId1"/>
  <headerFooter>
    <oddFooter>&amp;L&amp;"Arial,Standard"&amp;10© 2022 maxon. All rights reserved.</oddFooter>
  </headerFooter>
  <ignoredErrors>
    <ignoredError sqref="F24:F25" formula="1"/>
    <ignoredError sqref="C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FE9F6-FEA2-4A8A-BAC6-7B3DD99B2947}">
  <sheetPr codeName="Sheet2"/>
  <dimension ref="B2:K40"/>
  <sheetViews>
    <sheetView workbookViewId="0">
      <selection activeCell="I23" sqref="I23"/>
    </sheetView>
  </sheetViews>
  <sheetFormatPr defaultColWidth="11.42578125" defaultRowHeight="15" x14ac:dyDescent="0.25"/>
  <cols>
    <col min="2" max="2" width="14" customWidth="1"/>
    <col min="9" max="9" width="25.5703125" bestFit="1" customWidth="1"/>
  </cols>
  <sheetData>
    <row r="2" spans="2:7" ht="18.75" x14ac:dyDescent="0.3">
      <c r="B2" s="59" t="s">
        <v>0</v>
      </c>
    </row>
    <row r="4" spans="2:7" x14ac:dyDescent="0.25">
      <c r="B4" t="s">
        <v>1</v>
      </c>
      <c r="C4">
        <f>'UAV-ESC Calculation Sheet'!F9</f>
        <v>0</v>
      </c>
      <c r="D4" t="s">
        <v>2</v>
      </c>
      <c r="E4" s="2"/>
    </row>
    <row r="5" spans="2:7" x14ac:dyDescent="0.25">
      <c r="B5" t="s">
        <v>3</v>
      </c>
      <c r="C5" s="3">
        <f>'UAV-ESC Calculation Sheet'!F10/1000</f>
        <v>0</v>
      </c>
      <c r="D5" t="s">
        <v>4</v>
      </c>
      <c r="E5" s="2"/>
    </row>
    <row r="6" spans="2:7" x14ac:dyDescent="0.25">
      <c r="B6" t="s">
        <v>5</v>
      </c>
      <c r="C6" s="3">
        <f>C4*0.5</f>
        <v>0</v>
      </c>
      <c r="D6" t="s">
        <v>2</v>
      </c>
    </row>
    <row r="7" spans="2:7" x14ac:dyDescent="0.25">
      <c r="B7" t="s">
        <v>6</v>
      </c>
      <c r="C7" s="3">
        <f>C5*0.5</f>
        <v>0</v>
      </c>
      <c r="D7" t="s">
        <v>4</v>
      </c>
    </row>
    <row r="9" spans="2:7" x14ac:dyDescent="0.25">
      <c r="B9" s="1" t="s">
        <v>7</v>
      </c>
      <c r="C9" s="1">
        <v>4.0000000000000003E-5</v>
      </c>
      <c r="D9" s="1" t="s">
        <v>8</v>
      </c>
    </row>
    <row r="10" spans="2:7" x14ac:dyDescent="0.25">
      <c r="B10" s="9" t="s">
        <v>9</v>
      </c>
      <c r="C10" s="9">
        <f>1/C9</f>
        <v>24999.999999999996</v>
      </c>
      <c r="D10" s="9" t="s">
        <v>10</v>
      </c>
    </row>
    <row r="11" spans="2:7" x14ac:dyDescent="0.25">
      <c r="B11" t="s">
        <v>11</v>
      </c>
      <c r="C11" s="4" t="e">
        <f>1/C6</f>
        <v>#DIV/0!</v>
      </c>
      <c r="D11" t="s">
        <v>12</v>
      </c>
    </row>
    <row r="12" spans="2:7" x14ac:dyDescent="0.25">
      <c r="B12" t="s">
        <v>13</v>
      </c>
      <c r="C12" s="5" t="e">
        <f>C7/C6</f>
        <v>#DIV/0!</v>
      </c>
      <c r="D12" t="s">
        <v>8</v>
      </c>
    </row>
    <row r="13" spans="2:7" x14ac:dyDescent="0.25">
      <c r="B13" t="s">
        <v>14</v>
      </c>
      <c r="C13" s="3" t="e">
        <f>1/C12</f>
        <v>#DIV/0!</v>
      </c>
      <c r="D13" t="s">
        <v>15</v>
      </c>
    </row>
    <row r="14" spans="2:7" x14ac:dyDescent="0.25">
      <c r="B14" s="60" t="s">
        <v>16</v>
      </c>
      <c r="C14" s="61">
        <f>1</f>
        <v>1</v>
      </c>
    </row>
    <row r="15" spans="2:7" x14ac:dyDescent="0.25">
      <c r="B15" t="s">
        <v>17</v>
      </c>
      <c r="C15" t="e">
        <f>C13*C14</f>
        <v>#DIV/0!</v>
      </c>
      <c r="D15" t="s">
        <v>15</v>
      </c>
      <c r="E15" s="62">
        <f>C10/2/10*2*PI()</f>
        <v>7853.9816339744812</v>
      </c>
      <c r="F15" s="62" t="s">
        <v>15</v>
      </c>
      <c r="G15" s="62" t="s">
        <v>18</v>
      </c>
    </row>
    <row r="16" spans="2:7" x14ac:dyDescent="0.25">
      <c r="B16" t="s">
        <v>19</v>
      </c>
      <c r="C16" t="e">
        <f>IF(C15&lt;E15,C15,E15)</f>
        <v>#DIV/0!</v>
      </c>
      <c r="D16" t="s">
        <v>15</v>
      </c>
    </row>
    <row r="17" spans="2:11" x14ac:dyDescent="0.25">
      <c r="B17" t="s">
        <v>20</v>
      </c>
      <c r="C17" s="4">
        <v>20</v>
      </c>
    </row>
    <row r="18" spans="2:11" x14ac:dyDescent="0.25">
      <c r="B18" t="s">
        <v>21</v>
      </c>
      <c r="C18">
        <v>600</v>
      </c>
      <c r="D18" t="s">
        <v>10</v>
      </c>
    </row>
    <row r="19" spans="2:11" x14ac:dyDescent="0.25">
      <c r="B19" t="s">
        <v>22</v>
      </c>
      <c r="C19" s="4">
        <f>2*PI()*C18</f>
        <v>3769.9111843077517</v>
      </c>
      <c r="D19" t="s">
        <v>15</v>
      </c>
    </row>
    <row r="20" spans="2:11" x14ac:dyDescent="0.25">
      <c r="B20" t="s">
        <v>23</v>
      </c>
      <c r="C20" s="4">
        <v>1</v>
      </c>
    </row>
    <row r="21" spans="2:11" x14ac:dyDescent="0.25">
      <c r="C21" s="4"/>
    </row>
    <row r="22" spans="2:11" x14ac:dyDescent="0.25">
      <c r="B22" t="s">
        <v>24</v>
      </c>
      <c r="C22" s="4">
        <f>C6*C19*C20</f>
        <v>0</v>
      </c>
      <c r="D22" t="s">
        <v>25</v>
      </c>
    </row>
    <row r="23" spans="2:11" x14ac:dyDescent="0.25">
      <c r="B23" t="s">
        <v>26</v>
      </c>
      <c r="C23" s="4">
        <f>C7*C19</f>
        <v>0</v>
      </c>
      <c r="D23" t="s">
        <v>27</v>
      </c>
      <c r="I23" s="63" t="s">
        <v>96</v>
      </c>
      <c r="J23" s="64"/>
      <c r="K23" s="65"/>
    </row>
    <row r="24" spans="2:11" x14ac:dyDescent="0.25">
      <c r="I24" s="66"/>
      <c r="J24" s="6"/>
      <c r="K24" s="67"/>
    </row>
    <row r="25" spans="2:11" x14ac:dyDescent="0.25">
      <c r="B25" t="s">
        <v>28</v>
      </c>
      <c r="C25" t="e">
        <f>EXP(-C6/C7*C9)</f>
        <v>#DIV/0!</v>
      </c>
      <c r="D25" s="7" t="s">
        <v>50</v>
      </c>
      <c r="I25" s="66" t="s">
        <v>57</v>
      </c>
      <c r="J25" s="68" t="e">
        <f>C25</f>
        <v>#DIV/0!</v>
      </c>
      <c r="K25" s="67" t="s">
        <v>50</v>
      </c>
    </row>
    <row r="26" spans="2:11" x14ac:dyDescent="0.25">
      <c r="B26" t="s">
        <v>29</v>
      </c>
      <c r="C26" t="e">
        <f>(1-C25)/C6</f>
        <v>#DIV/0!</v>
      </c>
      <c r="D26" t="s">
        <v>12</v>
      </c>
      <c r="I26" s="66" t="s">
        <v>58</v>
      </c>
      <c r="J26" s="68" t="e">
        <f>IF(C26&lt;1.6,C26,1.6)</f>
        <v>#DIV/0!</v>
      </c>
      <c r="K26" s="67" t="s">
        <v>12</v>
      </c>
    </row>
    <row r="27" spans="2:11" x14ac:dyDescent="0.25">
      <c r="I27" s="66"/>
      <c r="J27" s="6"/>
      <c r="K27" s="67"/>
    </row>
    <row r="28" spans="2:11" x14ac:dyDescent="0.25">
      <c r="B28" t="s">
        <v>30</v>
      </c>
      <c r="C28">
        <v>80000</v>
      </c>
      <c r="D28" t="s">
        <v>31</v>
      </c>
      <c r="I28" s="66"/>
      <c r="J28" s="6"/>
      <c r="K28" s="67"/>
    </row>
    <row r="29" spans="2:11" x14ac:dyDescent="0.25">
      <c r="B29" t="s">
        <v>32</v>
      </c>
      <c r="C29">
        <f>C28/60*2*PI()</f>
        <v>8377.5804095727817</v>
      </c>
      <c r="D29" t="s">
        <v>15</v>
      </c>
      <c r="I29" s="66"/>
      <c r="J29" s="6"/>
      <c r="K29" s="67"/>
    </row>
    <row r="30" spans="2:11" x14ac:dyDescent="0.25">
      <c r="B30" t="s">
        <v>33</v>
      </c>
      <c r="C30">
        <v>0.5</v>
      </c>
      <c r="I30" s="66"/>
      <c r="J30" s="6"/>
      <c r="K30" s="67"/>
    </row>
    <row r="31" spans="2:11" x14ac:dyDescent="0.25">
      <c r="B31" t="s">
        <v>34</v>
      </c>
      <c r="C31">
        <v>10</v>
      </c>
      <c r="I31" s="66"/>
      <c r="J31" s="6"/>
      <c r="K31" s="67"/>
    </row>
    <row r="32" spans="2:11" x14ac:dyDescent="0.25">
      <c r="I32" s="66"/>
      <c r="J32" s="6"/>
      <c r="K32" s="67"/>
    </row>
    <row r="33" spans="2:11" x14ac:dyDescent="0.25">
      <c r="B33" t="s">
        <v>39</v>
      </c>
      <c r="C33" s="3" t="e">
        <f>C16*C9/C26</f>
        <v>#DIV/0!</v>
      </c>
      <c r="D33" t="s">
        <v>27</v>
      </c>
      <c r="I33" s="66" t="s">
        <v>62</v>
      </c>
      <c r="J33" s="68" t="e">
        <f>C33*1000</f>
        <v>#DIV/0!</v>
      </c>
      <c r="K33" s="67" t="s">
        <v>42</v>
      </c>
    </row>
    <row r="34" spans="2:11" x14ac:dyDescent="0.25">
      <c r="B34" t="s">
        <v>40</v>
      </c>
      <c r="C34" s="3" t="e">
        <f>(1-C25)/C26*C16</f>
        <v>#DIV/0!</v>
      </c>
      <c r="D34" t="s">
        <v>41</v>
      </c>
      <c r="I34" s="66" t="s">
        <v>63</v>
      </c>
      <c r="J34" s="68" t="e">
        <f>C34</f>
        <v>#DIV/0!</v>
      </c>
      <c r="K34" s="67" t="s">
        <v>43</v>
      </c>
    </row>
    <row r="35" spans="2:11" x14ac:dyDescent="0.25">
      <c r="I35" s="66"/>
      <c r="J35" s="6"/>
      <c r="K35" s="67"/>
    </row>
    <row r="36" spans="2:11" x14ac:dyDescent="0.25">
      <c r="B36" t="s">
        <v>35</v>
      </c>
      <c r="C36">
        <f>C30*SIN(C29*C9)</f>
        <v>0.16443332336929162</v>
      </c>
      <c r="I36" s="66"/>
      <c r="J36" s="6"/>
      <c r="K36" s="67"/>
    </row>
    <row r="37" spans="2:11" x14ac:dyDescent="0.25">
      <c r="B37" t="s">
        <v>36</v>
      </c>
      <c r="C37" t="e">
        <f>C25-SQRT(C25*C25-C36*C36+1-2*C25*COS(C29*C9))</f>
        <v>#DIV/0!</v>
      </c>
      <c r="I37" s="66"/>
      <c r="J37" s="6"/>
      <c r="K37" s="67"/>
    </row>
    <row r="38" spans="2:11" x14ac:dyDescent="0.25">
      <c r="I38" s="66"/>
      <c r="J38" s="6"/>
      <c r="K38" s="67"/>
    </row>
    <row r="39" spans="2:11" x14ac:dyDescent="0.25">
      <c r="B39" t="s">
        <v>37</v>
      </c>
      <c r="C39" t="e">
        <f>-1/C25*(C36*C36+C37*C37)+1</f>
        <v>#DIV/0!</v>
      </c>
      <c r="D39" s="8" t="s">
        <v>50</v>
      </c>
      <c r="E39" s="6"/>
      <c r="I39" s="66" t="s">
        <v>68</v>
      </c>
      <c r="J39" s="68" t="e">
        <f>C39</f>
        <v>#DIV/0!</v>
      </c>
      <c r="K39" s="67" t="s">
        <v>50</v>
      </c>
    </row>
    <row r="40" spans="2:11" x14ac:dyDescent="0.25">
      <c r="B40" t="s">
        <v>38</v>
      </c>
      <c r="C40" t="e">
        <f>C36*C36+C37*C37-2*C37+1</f>
        <v>#DIV/0!</v>
      </c>
      <c r="D40" s="6" t="s">
        <v>27</v>
      </c>
      <c r="E40" s="6"/>
      <c r="I40" s="69" t="s">
        <v>69</v>
      </c>
      <c r="J40" s="70" t="e">
        <f>C40</f>
        <v>#DIV/0!</v>
      </c>
      <c r="K40" s="71" t="s">
        <v>27</v>
      </c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643EA-DEC7-4F26-BA91-6BDBA3FD69CC}">
  <sheetPr codeName="Sheet3"/>
  <dimension ref="B2:H5"/>
  <sheetViews>
    <sheetView workbookViewId="0">
      <selection activeCell="I23" sqref="I23"/>
    </sheetView>
  </sheetViews>
  <sheetFormatPr defaultColWidth="11.42578125" defaultRowHeight="15" x14ac:dyDescent="0.25"/>
  <cols>
    <col min="2" max="2" width="15.28515625" bestFit="1" customWidth="1"/>
    <col min="6" max="6" width="26.5703125" customWidth="1"/>
  </cols>
  <sheetData>
    <row r="2" spans="2:8" x14ac:dyDescent="0.25">
      <c r="B2" t="s">
        <v>44</v>
      </c>
      <c r="C2">
        <f>'UAV-ESC Calculation Sheet'!F11</f>
        <v>0</v>
      </c>
      <c r="D2" t="s">
        <v>45</v>
      </c>
      <c r="F2" s="63" t="s">
        <v>96</v>
      </c>
      <c r="G2" s="64"/>
      <c r="H2" s="65"/>
    </row>
    <row r="3" spans="2:8" x14ac:dyDescent="0.25">
      <c r="F3" s="66"/>
      <c r="G3" s="6"/>
      <c r="H3" s="67"/>
    </row>
    <row r="4" spans="2:8" x14ac:dyDescent="0.25">
      <c r="B4" t="s">
        <v>46</v>
      </c>
      <c r="C4" t="e">
        <f>360/C2</f>
        <v>#DIV/0!</v>
      </c>
      <c r="D4" t="s">
        <v>47</v>
      </c>
      <c r="F4" s="66" t="s">
        <v>79</v>
      </c>
      <c r="G4" s="72" t="e">
        <f>IF(C4&gt;0.5,C4,0.5)*1000</f>
        <v>#DIV/0!</v>
      </c>
      <c r="H4" s="67" t="s">
        <v>49</v>
      </c>
    </row>
    <row r="5" spans="2:8" x14ac:dyDescent="0.25">
      <c r="B5" t="s">
        <v>48</v>
      </c>
      <c r="C5" t="e">
        <f>C4*0.5</f>
        <v>#DIV/0!</v>
      </c>
      <c r="D5" t="s">
        <v>47</v>
      </c>
      <c r="F5" s="69" t="s">
        <v>80</v>
      </c>
      <c r="G5" s="73" t="e">
        <f>IF(C5&gt;0.15,C5,0.15)*1000</f>
        <v>#DIV/0!</v>
      </c>
      <c r="H5" s="71" t="s">
        <v>49</v>
      </c>
    </row>
  </sheetData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UAV-ESC Calculation Sheet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Philipp.Marchand@maxongroup.com</dc:creator>
  <cp:lastModifiedBy>Marchand, Philipp</cp:lastModifiedBy>
  <cp:lastPrinted>2022-12-12T15:11:35Z</cp:lastPrinted>
  <dcterms:created xsi:type="dcterms:W3CDTF">2022-06-09T08:27:23Z</dcterms:created>
  <dcterms:modified xsi:type="dcterms:W3CDTF">2022-12-12T15:17:53Z</dcterms:modified>
</cp:coreProperties>
</file>